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7795" windowHeight="12300" activeTab="1"/>
  </bookViews>
  <sheets>
    <sheet name="protots" sheetId="1" r:id="rId1"/>
    <sheet name="Global Pricing" sheetId="3" r:id="rId2"/>
    <sheet name="Sheet2" sheetId="2" r:id="rId3"/>
  </sheets>
  <calcPr calcId="125725"/>
</workbook>
</file>

<file path=xl/calcChain.xml><?xml version="1.0" encoding="utf-8"?>
<calcChain xmlns="http://schemas.openxmlformats.org/spreadsheetml/2006/main">
  <c r="M27" i="3"/>
  <c r="L28"/>
  <c r="M28" s="1"/>
  <c r="C53"/>
  <c r="D52"/>
  <c r="C52"/>
  <c r="C54" s="1"/>
  <c r="C39"/>
  <c r="D38"/>
  <c r="C38"/>
  <c r="C40" s="1"/>
  <c r="G27"/>
  <c r="D45"/>
  <c r="C46"/>
  <c r="C45"/>
  <c r="G34"/>
  <c r="G32"/>
  <c r="H26"/>
  <c r="I26" s="1"/>
  <c r="H25"/>
  <c r="I25" s="1"/>
  <c r="M5"/>
  <c r="L6"/>
  <c r="M6" s="1"/>
  <c r="H47" i="2"/>
  <c r="H46"/>
  <c r="D51"/>
  <c r="D50"/>
  <c r="C51"/>
  <c r="B51"/>
  <c r="C47"/>
  <c r="D47"/>
  <c r="E47"/>
  <c r="F47"/>
  <c r="B47"/>
  <c r="C50"/>
  <c r="F46"/>
  <c r="E46"/>
  <c r="D46"/>
  <c r="M3" i="3"/>
  <c r="L4"/>
  <c r="L8" s="1"/>
  <c r="L11" s="1"/>
  <c r="G6"/>
  <c r="G8" s="1"/>
  <c r="H4"/>
  <c r="H3"/>
  <c r="I3" s="1"/>
  <c r="B7"/>
  <c r="H8" i="1"/>
  <c r="H5"/>
  <c r="J8"/>
  <c r="F10"/>
  <c r="F8"/>
  <c r="F6"/>
  <c r="F3"/>
  <c r="J34" i="2"/>
  <c r="I34"/>
  <c r="D4" i="1"/>
  <c r="D5"/>
  <c r="D6"/>
  <c r="D7"/>
  <c r="D3"/>
  <c r="C7"/>
  <c r="B16" i="3" l="1"/>
  <c r="C16" s="1"/>
  <c r="C47"/>
  <c r="C49" s="1"/>
  <c r="L30"/>
  <c r="L33" s="1"/>
  <c r="M33" s="1"/>
  <c r="G11"/>
  <c r="L9"/>
  <c r="D46"/>
  <c r="D47" s="1"/>
  <c r="D49" s="1"/>
  <c r="D39"/>
  <c r="D40" s="1"/>
  <c r="D42" s="1"/>
  <c r="D53"/>
  <c r="D54" s="1"/>
  <c r="D56" s="1"/>
  <c r="L31"/>
  <c r="M30"/>
  <c r="C56"/>
  <c r="B55"/>
  <c r="B41"/>
  <c r="C42"/>
  <c r="B8"/>
  <c r="H35"/>
  <c r="H33"/>
  <c r="H28"/>
  <c r="G30"/>
  <c r="H30" s="1"/>
  <c r="M11"/>
  <c r="M4"/>
  <c r="M8"/>
  <c r="B18" s="1"/>
  <c r="C18" s="1"/>
  <c r="B12"/>
  <c r="C12" s="1"/>
  <c r="H8"/>
  <c r="H6"/>
  <c r="E56" l="1"/>
  <c r="B48"/>
  <c r="G13"/>
  <c r="H11"/>
  <c r="B13"/>
  <c r="C13" s="1"/>
  <c r="E42"/>
  <c r="E49"/>
  <c r="B17"/>
  <c r="C17" s="1"/>
  <c r="H13" l="1"/>
  <c r="B14"/>
  <c r="C14" s="1"/>
</calcChain>
</file>

<file path=xl/comments1.xml><?xml version="1.0" encoding="utf-8"?>
<comments xmlns="http://schemas.openxmlformats.org/spreadsheetml/2006/main">
  <authors>
    <author>CG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720+1650</t>
        </r>
      </text>
    </comment>
    <comment ref="C6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$7,704.00 + $14,932.50 = $22,636.50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break point tools for housing
</t>
        </r>
      </text>
    </comment>
  </commentList>
</comments>
</file>

<file path=xl/sharedStrings.xml><?xml version="1.0" encoding="utf-8"?>
<sst xmlns="http://schemas.openxmlformats.org/spreadsheetml/2006/main" count="147" uniqueCount="92">
  <si>
    <t>elec parts</t>
  </si>
  <si>
    <t>pcb</t>
  </si>
  <si>
    <t>Housing</t>
  </si>
  <si>
    <t>CM</t>
  </si>
  <si>
    <t>production</t>
  </si>
  <si>
    <t>PCB</t>
  </si>
  <si>
    <t>- Unit cost: $21</t>
  </si>
  <si>
    <t>- E-test charge: $700</t>
  </si>
  <si>
    <t>- MOQ: 150 pcs</t>
  </si>
  <si>
    <t>- Lead time (L/T): 8 weeks</t>
  </si>
  <si>
    <t>- Finishing: Immersion gold</t>
  </si>
  <si>
    <t>- Outline: Routing</t>
  </si>
  <si>
    <t>- Layer: 8 layers</t>
  </si>
  <si>
    <t>- Material: FR4</t>
  </si>
  <si>
    <t>BASE</t>
  </si>
  <si>
    <t xml:space="preserve">                  Mould       CNC</t>
  </si>
  <si>
    <t>- Unit cost:      $4.96       $13.55</t>
  </si>
  <si>
    <t>- Mould charge:   $7500       nil</t>
  </si>
  <si>
    <t>- MOQ:            500         50</t>
  </si>
  <si>
    <t>- Delivery L/T:   4 weeks     2 weeks</t>
  </si>
  <si>
    <t>- Material: SECC (T = 1.2mm)</t>
  </si>
  <si>
    <t>COVER BMXC</t>
  </si>
  <si>
    <t>- Unit cost:      $3.21       $9.48</t>
  </si>
  <si>
    <t>- Mould charge:   $3700       nil</t>
  </si>
  <si>
    <t>- Mould L/T:      4 weeks</t>
  </si>
  <si>
    <t>FRONT</t>
  </si>
  <si>
    <t>- Unit cost:      $4.34       $13.55</t>
  </si>
  <si>
    <t>- Mould charge:   $3500       nil</t>
  </si>
  <si>
    <t>- Material: ALUMINIUM 2052-H32 (T = 2mm)</t>
  </si>
  <si>
    <t>box</t>
  </si>
  <si>
    <t>CNC housing</t>
  </si>
  <si>
    <t>Tools</t>
  </si>
  <si>
    <t>base</t>
  </si>
  <si>
    <t>cover</t>
  </si>
  <si>
    <t>front</t>
  </si>
  <si>
    <t>pcb e-test</t>
  </si>
  <si>
    <t>IEX-16L production cost, protos, vs. Production est.</t>
  </si>
  <si>
    <t>Note: current BOM doe not account for switching input gain level.</t>
  </si>
  <si>
    <t>per unit</t>
  </si>
  <si>
    <t>IEX-16L</t>
  </si>
  <si>
    <t>mfg cost</t>
  </si>
  <si>
    <t>licens#</t>
  </si>
  <si>
    <t>others</t>
  </si>
  <si>
    <t>COGS</t>
  </si>
  <si>
    <t>US</t>
  </si>
  <si>
    <t>MSRP</t>
  </si>
  <si>
    <t>MAP</t>
  </si>
  <si>
    <t xml:space="preserve"> dic</t>
  </si>
  <si>
    <t>Dealer</t>
  </si>
  <si>
    <t>comm</t>
  </si>
  <si>
    <t>Starin</t>
  </si>
  <si>
    <t>List inc</t>
  </si>
  <si>
    <t>List nett</t>
  </si>
  <si>
    <t>ROW</t>
  </si>
  <si>
    <t>IEX16L</t>
  </si>
  <si>
    <t>Distr-disc</t>
  </si>
  <si>
    <t>Distr.</t>
  </si>
  <si>
    <t>SD disc</t>
  </si>
  <si>
    <t>Super Dist</t>
  </si>
  <si>
    <t>USD</t>
  </si>
  <si>
    <t>EURO</t>
  </si>
  <si>
    <t>MOVEK-Starin</t>
  </si>
  <si>
    <t>MOVEK SD</t>
  </si>
  <si>
    <t>DLR-US</t>
  </si>
  <si>
    <t>USD Based</t>
  </si>
  <si>
    <t>EUR Based</t>
  </si>
  <si>
    <t>Landed</t>
  </si>
  <si>
    <t>MFG</t>
  </si>
  <si>
    <t>Transport</t>
  </si>
  <si>
    <t>LC</t>
  </si>
  <si>
    <t>VK</t>
  </si>
  <si>
    <t>net</t>
  </si>
  <si>
    <t>Street inc</t>
  </si>
  <si>
    <t>Street net</t>
  </si>
  <si>
    <t>disc-List</t>
  </si>
  <si>
    <t>DLR EU</t>
  </si>
  <si>
    <t>disc-DLR</t>
  </si>
  <si>
    <t>GM-IEX16L</t>
  </si>
  <si>
    <t>MOVEK Dist($)</t>
  </si>
  <si>
    <t>myMix</t>
  </si>
  <si>
    <t>Increase MAP to $549, and make MSRP = MAP!</t>
  </si>
  <si>
    <t>Bundles</t>
  </si>
  <si>
    <t>Sum</t>
  </si>
  <si>
    <t>Bundel disc</t>
  </si>
  <si>
    <t xml:space="preserve"> GM-MAP</t>
  </si>
  <si>
    <t>US DLR</t>
  </si>
  <si>
    <t>dlr purchase</t>
  </si>
  <si>
    <t>GM street</t>
  </si>
  <si>
    <t xml:space="preserve">Factor </t>
  </si>
  <si>
    <t>GM distr</t>
  </si>
  <si>
    <t>Distr EU</t>
  </si>
  <si>
    <t xml:space="preserve">Using new MAP </t>
  </si>
</sst>
</file>

<file path=xl/styles.xml><?xml version="1.0" encoding="utf-8"?>
<styleSheet xmlns="http://schemas.openxmlformats.org/spreadsheetml/2006/main">
  <numFmts count="5">
    <numFmt numFmtId="43" formatCode="_-* #,##0.00\ _€_-;\-* #,##0.00\ _€_-;_-* &quot;-&quot;??\ _€_-;_-@_-"/>
    <numFmt numFmtId="164" formatCode="_-[$$-409]* #,##0.00_ ;_-[$$-409]* \-#,##0.00\ ;_-[$$-409]* &quot;-&quot;??_ ;_-@_ "/>
    <numFmt numFmtId="171" formatCode="_-* #,##0.00\ [$€-407]_-;\-* #,##0.00\ [$€-407]_-;_-* &quot;-&quot;??\ [$€-407]_-;_-@_-"/>
    <numFmt numFmtId="172" formatCode="0.0%"/>
    <numFmt numFmtId="173" formatCode="0.00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onsolas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0" applyNumberFormat="1"/>
    <xf numFmtId="0" fontId="3" fillId="0" borderId="0" xfId="0" applyFont="1"/>
    <xf numFmtId="1" fontId="0" fillId="0" borderId="0" xfId="0" applyNumberFormat="1"/>
    <xf numFmtId="171" fontId="0" fillId="0" borderId="0" xfId="0" applyNumberFormat="1"/>
    <xf numFmtId="9" fontId="0" fillId="0" borderId="0" xfId="2" applyFont="1"/>
    <xf numFmtId="0" fontId="2" fillId="0" borderId="0" xfId="0" applyFont="1"/>
    <xf numFmtId="9" fontId="0" fillId="0" borderId="0" xfId="0" applyNumberFormat="1"/>
    <xf numFmtId="164" fontId="0" fillId="0" borderId="0" xfId="2" applyNumberFormat="1" applyFont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171" fontId="0" fillId="0" borderId="1" xfId="0" applyNumberFormat="1" applyBorder="1"/>
    <xf numFmtId="9" fontId="0" fillId="0" borderId="1" xfId="2" applyFont="1" applyBorder="1"/>
    <xf numFmtId="164" fontId="0" fillId="2" borderId="1" xfId="0" applyNumberFormat="1" applyFill="1" applyBorder="1"/>
    <xf numFmtId="43" fontId="0" fillId="0" borderId="1" xfId="1" applyFont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72" fontId="0" fillId="0" borderId="1" xfId="2" applyNumberFormat="1" applyFont="1" applyBorder="1"/>
    <xf numFmtId="164" fontId="0" fillId="0" borderId="1" xfId="0" applyNumberFormat="1" applyFill="1" applyBorder="1"/>
    <xf numFmtId="10" fontId="0" fillId="0" borderId="1" xfId="2" applyNumberFormat="1" applyFont="1" applyBorder="1"/>
    <xf numFmtId="173" fontId="0" fillId="0" borderId="1" xfId="2" applyNumberFormat="1" applyFont="1" applyBorder="1"/>
    <xf numFmtId="164" fontId="2" fillId="0" borderId="1" xfId="0" applyNumberFormat="1" applyFont="1" applyBorder="1"/>
    <xf numFmtId="164" fontId="2" fillId="0" borderId="1" xfId="0" applyNumberFormat="1" applyFont="1" applyFill="1" applyBorder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0" fontId="0" fillId="0" borderId="5" xfId="0" applyBorder="1"/>
    <xf numFmtId="0" fontId="0" fillId="0" borderId="4" xfId="0" applyBorder="1"/>
    <xf numFmtId="164" fontId="0" fillId="0" borderId="6" xfId="0" applyNumberFormat="1" applyBorder="1"/>
    <xf numFmtId="10" fontId="0" fillId="0" borderId="7" xfId="2" applyNumberFormat="1" applyFont="1" applyBorder="1"/>
    <xf numFmtId="0" fontId="0" fillId="0" borderId="8" xfId="0" applyBorder="1"/>
    <xf numFmtId="164" fontId="0" fillId="0" borderId="5" xfId="0" applyNumberFormat="1" applyBorder="1"/>
    <xf numFmtId="0" fontId="0" fillId="0" borderId="6" xfId="0" applyBorder="1"/>
    <xf numFmtId="0" fontId="0" fillId="0" borderId="9" xfId="0" applyBorder="1"/>
    <xf numFmtId="164" fontId="0" fillId="0" borderId="7" xfId="0" applyNumberFormat="1" applyBorder="1"/>
    <xf numFmtId="0" fontId="0" fillId="0" borderId="1" xfId="0" applyFill="1" applyBorder="1"/>
    <xf numFmtId="0" fontId="0" fillId="0" borderId="0" xfId="0" applyBorder="1"/>
    <xf numFmtId="164" fontId="0" fillId="0" borderId="0" xfId="0" applyNumberFormat="1" applyBorder="1"/>
    <xf numFmtId="171" fontId="0" fillId="0" borderId="0" xfId="0" applyNumberFormat="1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C17" sqref="C17"/>
    </sheetView>
  </sheetViews>
  <sheetFormatPr defaultRowHeight="15"/>
  <cols>
    <col min="2" max="2" width="12" customWidth="1"/>
    <col min="3" max="3" width="11.28515625" bestFit="1" customWidth="1"/>
    <col min="4" max="4" width="10.28515625" bestFit="1" customWidth="1"/>
    <col min="6" max="6" width="12.7109375" customWidth="1"/>
    <col min="7" max="7" width="16.140625" customWidth="1"/>
  </cols>
  <sheetData>
    <row r="1" spans="1:11">
      <c r="A1" t="s">
        <v>36</v>
      </c>
      <c r="F1" t="s">
        <v>4</v>
      </c>
      <c r="G1" t="s">
        <v>30</v>
      </c>
      <c r="J1" t="s">
        <v>31</v>
      </c>
    </row>
    <row r="2" spans="1:11">
      <c r="C2">
        <v>20</v>
      </c>
      <c r="D2" t="s">
        <v>38</v>
      </c>
    </row>
    <row r="3" spans="1:11">
      <c r="B3" t="s">
        <v>0</v>
      </c>
      <c r="C3" s="1">
        <v>6029.53</v>
      </c>
      <c r="D3" s="1">
        <f>C3/20</f>
        <v>301.47649999999999</v>
      </c>
      <c r="F3">
        <f>94.84+4</f>
        <v>98.84</v>
      </c>
      <c r="J3">
        <v>7500</v>
      </c>
      <c r="K3" t="s">
        <v>32</v>
      </c>
    </row>
    <row r="4" spans="1:11">
      <c r="B4" t="s">
        <v>1</v>
      </c>
      <c r="C4" s="1">
        <v>4687.2</v>
      </c>
      <c r="D4" s="1">
        <f t="shared" ref="D4:D7" si="0">C4/20</f>
        <v>234.35999999999999</v>
      </c>
      <c r="F4">
        <v>21</v>
      </c>
      <c r="J4">
        <v>3700</v>
      </c>
      <c r="K4" t="s">
        <v>33</v>
      </c>
    </row>
    <row r="5" spans="1:11">
      <c r="B5" t="s">
        <v>2</v>
      </c>
      <c r="C5" s="1">
        <v>2370</v>
      </c>
      <c r="D5" s="1">
        <f t="shared" si="0"/>
        <v>118.5</v>
      </c>
      <c r="F5">
        <v>12.51</v>
      </c>
      <c r="G5">
        <v>36.58</v>
      </c>
      <c r="H5">
        <f>G5-F5</f>
        <v>24.07</v>
      </c>
      <c r="J5">
        <v>3500</v>
      </c>
      <c r="K5" t="s">
        <v>34</v>
      </c>
    </row>
    <row r="6" spans="1:11">
      <c r="B6" t="s">
        <v>3</v>
      </c>
      <c r="C6" s="1">
        <v>22636.5</v>
      </c>
      <c r="D6" s="1">
        <f t="shared" si="0"/>
        <v>1131.825</v>
      </c>
      <c r="F6">
        <f>(F5+F4+F3)*0.2</f>
        <v>26.47</v>
      </c>
      <c r="J6">
        <v>700</v>
      </c>
      <c r="K6" t="s">
        <v>35</v>
      </c>
    </row>
    <row r="7" spans="1:11">
      <c r="C7" s="1">
        <f>SUM(C3:C6)</f>
        <v>35723.229999999996</v>
      </c>
      <c r="D7" s="1">
        <f t="shared" si="0"/>
        <v>1786.1614999999997</v>
      </c>
    </row>
    <row r="8" spans="1:11">
      <c r="C8" s="1"/>
      <c r="D8" s="1"/>
      <c r="F8">
        <f>SUM(F3:F7)</f>
        <v>158.82</v>
      </c>
      <c r="H8" s="3">
        <f>(J3+J4+J5)/H5</f>
        <v>610.71873701703362</v>
      </c>
      <c r="J8">
        <f>SUM(J3:J7)</f>
        <v>15400</v>
      </c>
    </row>
    <row r="9" spans="1:11">
      <c r="B9" t="s">
        <v>29</v>
      </c>
      <c r="D9">
        <v>5</v>
      </c>
      <c r="F9">
        <v>2</v>
      </c>
    </row>
    <row r="10" spans="1:11">
      <c r="F10">
        <f>SUM(F8:F9)</f>
        <v>160.82</v>
      </c>
    </row>
    <row r="13" spans="1:11">
      <c r="A13" t="s">
        <v>37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6"/>
  <sheetViews>
    <sheetView tabSelected="1" workbookViewId="0">
      <selection activeCell="B25" sqref="B25"/>
    </sheetView>
  </sheetViews>
  <sheetFormatPr defaultRowHeight="15"/>
  <cols>
    <col min="1" max="1" width="15" customWidth="1"/>
    <col min="2" max="2" width="14.42578125" customWidth="1"/>
    <col min="3" max="3" width="12.5703125" customWidth="1"/>
    <col min="4" max="4" width="10.28515625" bestFit="1" customWidth="1"/>
    <col min="5" max="5" width="12.140625" customWidth="1"/>
    <col min="6" max="6" width="12.42578125" customWidth="1"/>
    <col min="7" max="7" width="9.140625" style="1"/>
    <col min="8" max="8" width="9.42578125" bestFit="1" customWidth="1"/>
    <col min="9" max="10" width="9.42578125" customWidth="1"/>
    <col min="11" max="11" width="11.5703125" customWidth="1"/>
    <col min="12" max="12" width="11" style="4" bestFit="1" customWidth="1"/>
    <col min="13" max="13" width="11" bestFit="1" customWidth="1"/>
  </cols>
  <sheetData>
    <row r="1" spans="1:13">
      <c r="F1" s="9" t="s">
        <v>54</v>
      </c>
      <c r="G1" s="10" t="s">
        <v>64</v>
      </c>
      <c r="H1" s="11">
        <v>1.25</v>
      </c>
      <c r="I1" s="6"/>
      <c r="J1" s="6"/>
      <c r="K1" s="9" t="s">
        <v>65</v>
      </c>
      <c r="L1" s="12"/>
      <c r="M1" s="9"/>
    </row>
    <row r="2" spans="1:13">
      <c r="F2" s="9" t="s">
        <v>44</v>
      </c>
      <c r="G2" s="10" t="s">
        <v>59</v>
      </c>
      <c r="H2" s="9" t="s">
        <v>60</v>
      </c>
      <c r="I2" s="5">
        <v>0.19</v>
      </c>
      <c r="K2" s="9" t="s">
        <v>53</v>
      </c>
      <c r="L2" s="12" t="s">
        <v>60</v>
      </c>
      <c r="M2" s="9" t="s">
        <v>59</v>
      </c>
    </row>
    <row r="3" spans="1:13">
      <c r="A3" s="9" t="s">
        <v>39</v>
      </c>
      <c r="B3" s="9"/>
      <c r="F3" s="9" t="s">
        <v>45</v>
      </c>
      <c r="G3" s="10">
        <v>998</v>
      </c>
      <c r="H3" s="12">
        <f>G3/$H$1</f>
        <v>798.4</v>
      </c>
      <c r="I3" s="4">
        <f>H3*(1+I2)</f>
        <v>950.09599999999989</v>
      </c>
      <c r="J3" s="4"/>
      <c r="K3" s="9" t="s">
        <v>51</v>
      </c>
      <c r="L3" s="12">
        <v>1090</v>
      </c>
      <c r="M3" s="10">
        <f>L3*$H$1</f>
        <v>1362.5</v>
      </c>
    </row>
    <row r="4" spans="1:13">
      <c r="A4" s="9" t="s">
        <v>40</v>
      </c>
      <c r="B4" s="10">
        <v>160</v>
      </c>
      <c r="F4" s="9" t="s">
        <v>46</v>
      </c>
      <c r="G4" s="17">
        <v>998</v>
      </c>
      <c r="H4" s="12">
        <f t="shared" ref="H4:H8" si="0">G4/$H$1</f>
        <v>798.4</v>
      </c>
      <c r="I4" s="4"/>
      <c r="J4" s="4"/>
      <c r="K4" s="9" t="s">
        <v>52</v>
      </c>
      <c r="L4" s="12">
        <f>L3/1.19</f>
        <v>915.96638655462186</v>
      </c>
      <c r="M4" s="10">
        <f t="shared" ref="M4:M11" si="1">L4*$H$1</f>
        <v>1144.9579831932774</v>
      </c>
    </row>
    <row r="5" spans="1:13">
      <c r="A5" s="9" t="s">
        <v>41</v>
      </c>
      <c r="B5" s="10">
        <v>5</v>
      </c>
      <c r="F5" s="9" t="s">
        <v>47</v>
      </c>
      <c r="G5" s="13">
        <v>0.4</v>
      </c>
      <c r="H5" s="12"/>
      <c r="I5" s="4"/>
      <c r="J5" s="4"/>
      <c r="K5" s="9" t="s">
        <v>72</v>
      </c>
      <c r="L5" s="12">
        <v>899</v>
      </c>
      <c r="M5" s="10">
        <f t="shared" si="1"/>
        <v>1123.75</v>
      </c>
    </row>
    <row r="6" spans="1:13">
      <c r="A6" s="9" t="s">
        <v>42</v>
      </c>
      <c r="B6" s="10">
        <v>5</v>
      </c>
      <c r="F6" s="9" t="s">
        <v>48</v>
      </c>
      <c r="G6" s="16">
        <f>G3*(1-G5)</f>
        <v>598.79999999999995</v>
      </c>
      <c r="H6" s="12">
        <f t="shared" si="0"/>
        <v>479.03999999999996</v>
      </c>
      <c r="I6" s="4"/>
      <c r="J6" s="4"/>
      <c r="K6" s="9" t="s">
        <v>73</v>
      </c>
      <c r="L6" s="12">
        <f>L5/1.19</f>
        <v>755.46218487394958</v>
      </c>
      <c r="M6" s="17">
        <f t="shared" si="1"/>
        <v>944.32773109243703</v>
      </c>
    </row>
    <row r="7" spans="1:13">
      <c r="A7" s="9" t="s">
        <v>43</v>
      </c>
      <c r="B7" s="10">
        <f>SUM(B4:B6)</f>
        <v>170</v>
      </c>
      <c r="F7" s="9" t="s">
        <v>49</v>
      </c>
      <c r="G7" s="13">
        <v>0.13</v>
      </c>
      <c r="H7" s="12"/>
      <c r="I7" s="4"/>
      <c r="J7" s="4"/>
      <c r="K7" s="9" t="s">
        <v>74</v>
      </c>
      <c r="L7" s="13">
        <v>0.4</v>
      </c>
      <c r="M7" s="10"/>
    </row>
    <row r="8" spans="1:13">
      <c r="A8" s="9" t="s">
        <v>66</v>
      </c>
      <c r="B8" s="10">
        <f>B7+10</f>
        <v>180</v>
      </c>
      <c r="F8" s="9" t="s">
        <v>50</v>
      </c>
      <c r="G8" s="10">
        <f>G6*(1-G7)</f>
        <v>520.9559999999999</v>
      </c>
      <c r="H8" s="12">
        <f t="shared" si="0"/>
        <v>416.76479999999992</v>
      </c>
      <c r="I8" s="4"/>
      <c r="J8" s="4"/>
      <c r="K8" s="9" t="s">
        <v>48</v>
      </c>
      <c r="L8" s="12">
        <f>L4*(1-L7)</f>
        <v>549.57983193277312</v>
      </c>
      <c r="M8" s="16">
        <f>L8*$H$1</f>
        <v>686.97478991596643</v>
      </c>
    </row>
    <row r="9" spans="1:13">
      <c r="F9" s="9"/>
      <c r="G9" s="10"/>
      <c r="H9" s="9"/>
      <c r="K9" s="9"/>
      <c r="L9" s="15">
        <f>L5/L8</f>
        <v>1.6357951070336392</v>
      </c>
      <c r="M9" s="10"/>
    </row>
    <row r="10" spans="1:13">
      <c r="F10" s="9" t="s">
        <v>55</v>
      </c>
      <c r="G10" s="13">
        <v>0.4</v>
      </c>
      <c r="H10" s="9"/>
      <c r="K10" s="9" t="s">
        <v>76</v>
      </c>
      <c r="L10" s="13">
        <v>0.4</v>
      </c>
      <c r="M10" s="10"/>
    </row>
    <row r="11" spans="1:13">
      <c r="A11" s="9" t="s">
        <v>77</v>
      </c>
      <c r="B11" s="9"/>
      <c r="C11" s="9"/>
      <c r="F11" s="9" t="s">
        <v>56</v>
      </c>
      <c r="G11" s="14">
        <f>G6*(1-G10)</f>
        <v>359.28</v>
      </c>
      <c r="H11" s="12">
        <f t="shared" ref="H11" si="2">G11/$H$1</f>
        <v>287.42399999999998</v>
      </c>
      <c r="I11" s="4"/>
      <c r="J11" s="4"/>
      <c r="K11" s="9" t="s">
        <v>56</v>
      </c>
      <c r="L11" s="12">
        <f>L8*(1-L10)</f>
        <v>329.74789915966386</v>
      </c>
      <c r="M11" s="14">
        <f t="shared" si="1"/>
        <v>412.18487394957981</v>
      </c>
    </row>
    <row r="12" spans="1:13">
      <c r="A12" s="9" t="s">
        <v>61</v>
      </c>
      <c r="B12" s="10">
        <f>G8-B7</f>
        <v>350.9559999999999</v>
      </c>
      <c r="C12" s="18">
        <f>B12/G8</f>
        <v>0.67367685562696267</v>
      </c>
      <c r="F12" s="9" t="s">
        <v>57</v>
      </c>
      <c r="G12" s="13">
        <v>0.1</v>
      </c>
      <c r="H12" s="9"/>
      <c r="K12" s="9"/>
      <c r="L12" s="13"/>
      <c r="M12" s="10"/>
    </row>
    <row r="13" spans="1:13">
      <c r="A13" s="9" t="s">
        <v>78</v>
      </c>
      <c r="B13" s="10">
        <f>G11-B7</f>
        <v>189.27999999999997</v>
      </c>
      <c r="C13" s="18">
        <f>B13/G11</f>
        <v>0.52683144065909593</v>
      </c>
      <c r="F13" s="9" t="s">
        <v>58</v>
      </c>
      <c r="G13" s="10">
        <f>G11*(1-G12)</f>
        <v>323.35199999999998</v>
      </c>
      <c r="H13" s="12">
        <f t="shared" ref="H13" si="3">G13/$H$1</f>
        <v>258.6816</v>
      </c>
      <c r="I13" s="4"/>
      <c r="J13" s="4"/>
      <c r="K13" s="9"/>
      <c r="L13" s="12"/>
      <c r="M13" s="10"/>
    </row>
    <row r="14" spans="1:13">
      <c r="A14" s="9" t="s">
        <v>62</v>
      </c>
      <c r="B14" s="10">
        <f>G13-B7</f>
        <v>153.35199999999998</v>
      </c>
      <c r="C14" s="13">
        <f>B14/G13</f>
        <v>0.4742571562878844</v>
      </c>
    </row>
    <row r="15" spans="1:13">
      <c r="A15" s="9"/>
      <c r="B15" s="9"/>
      <c r="C15" s="9"/>
    </row>
    <row r="16" spans="1:13">
      <c r="A16" s="9" t="s">
        <v>63</v>
      </c>
      <c r="B16" s="10">
        <f>G4-G6</f>
        <v>399.20000000000005</v>
      </c>
      <c r="C16" s="13">
        <f>B16/G4</f>
        <v>0.4</v>
      </c>
    </row>
    <row r="17" spans="1:13">
      <c r="A17" s="9" t="s">
        <v>75</v>
      </c>
      <c r="B17" s="10">
        <f>M6-M8</f>
        <v>257.35294117647061</v>
      </c>
      <c r="C17" s="13">
        <f>B17/L6</f>
        <v>0.34065628476084542</v>
      </c>
    </row>
    <row r="18" spans="1:13">
      <c r="A18" s="36" t="s">
        <v>90</v>
      </c>
      <c r="B18" s="10">
        <f>M8-M11</f>
        <v>274.78991596638662</v>
      </c>
      <c r="C18" s="13">
        <f>B18/M8</f>
        <v>0.40000000000000008</v>
      </c>
    </row>
    <row r="21" spans="1:13">
      <c r="F21" t="s">
        <v>80</v>
      </c>
    </row>
    <row r="23" spans="1:13">
      <c r="F23" s="11" t="s">
        <v>79</v>
      </c>
      <c r="G23" s="10" t="s">
        <v>64</v>
      </c>
      <c r="H23" s="11"/>
      <c r="K23" s="9" t="s">
        <v>65</v>
      </c>
    </row>
    <row r="24" spans="1:13">
      <c r="F24" s="9" t="s">
        <v>44</v>
      </c>
      <c r="G24" s="10" t="s">
        <v>59</v>
      </c>
      <c r="H24" s="9" t="s">
        <v>60</v>
      </c>
      <c r="I24" s="7">
        <v>0.19</v>
      </c>
      <c r="K24" s="9" t="s">
        <v>53</v>
      </c>
    </row>
    <row r="25" spans="1:13">
      <c r="F25" s="9" t="s">
        <v>45</v>
      </c>
      <c r="G25" s="22">
        <v>549</v>
      </c>
      <c r="H25" s="12">
        <f>G25/$H$1</f>
        <v>439.2</v>
      </c>
      <c r="I25" s="4">
        <f>H25*(1+$I$24)</f>
        <v>522.64799999999991</v>
      </c>
      <c r="K25" s="9" t="s">
        <v>51</v>
      </c>
    </row>
    <row r="26" spans="1:13">
      <c r="F26" s="9" t="s">
        <v>46</v>
      </c>
      <c r="G26" s="23">
        <v>549</v>
      </c>
      <c r="H26" s="12">
        <f t="shared" ref="H26:H30" si="4">G26/$H$1</f>
        <v>439.2</v>
      </c>
      <c r="I26" s="4">
        <f>H26*(1+$I$24)</f>
        <v>522.64799999999991</v>
      </c>
      <c r="K26" s="9" t="s">
        <v>52</v>
      </c>
    </row>
    <row r="27" spans="1:13">
      <c r="F27" s="9" t="s">
        <v>84</v>
      </c>
      <c r="G27" s="21">
        <f>1-G28/G26</f>
        <v>0.36247723132969034</v>
      </c>
      <c r="H27" s="12"/>
      <c r="K27" s="9" t="s">
        <v>72</v>
      </c>
      <c r="L27" s="12">
        <v>499</v>
      </c>
      <c r="M27" s="10">
        <f>L27*$H$1</f>
        <v>623.75</v>
      </c>
    </row>
    <row r="28" spans="1:13">
      <c r="F28" s="9" t="s">
        <v>48</v>
      </c>
      <c r="G28" s="19">
        <v>350</v>
      </c>
      <c r="H28" s="12">
        <f t="shared" si="4"/>
        <v>280</v>
      </c>
      <c r="K28" s="9" t="s">
        <v>73</v>
      </c>
      <c r="L28" s="12">
        <f>L27/1.19</f>
        <v>419.32773109243698</v>
      </c>
      <c r="M28" s="10">
        <f>L28*$H$1</f>
        <v>524.15966386554624</v>
      </c>
    </row>
    <row r="29" spans="1:13">
      <c r="F29" s="9" t="s">
        <v>49</v>
      </c>
      <c r="G29" s="13">
        <v>0.13</v>
      </c>
      <c r="H29" s="12"/>
      <c r="K29" s="9" t="s">
        <v>87</v>
      </c>
      <c r="L29" s="18">
        <v>0.255</v>
      </c>
      <c r="M29" s="9"/>
    </row>
    <row r="30" spans="1:13">
      <c r="F30" s="9" t="s">
        <v>50</v>
      </c>
      <c r="G30" s="10">
        <f>G28*(1-G29)</f>
        <v>304.5</v>
      </c>
      <c r="H30" s="12">
        <f t="shared" si="4"/>
        <v>243.6</v>
      </c>
      <c r="K30" s="9" t="s">
        <v>48</v>
      </c>
      <c r="L30" s="12">
        <f>L28*(1-L29)</f>
        <v>312.39915966386553</v>
      </c>
      <c r="M30" s="10">
        <f>L30*$H$1</f>
        <v>390.4989495798319</v>
      </c>
    </row>
    <row r="31" spans="1:13">
      <c r="F31" s="9"/>
      <c r="G31" s="10"/>
      <c r="H31" s="9"/>
      <c r="K31" s="9" t="s">
        <v>88</v>
      </c>
      <c r="L31" s="15">
        <f>L27/L30</f>
        <v>1.5973154362416109</v>
      </c>
      <c r="M31" s="9"/>
    </row>
    <row r="32" spans="1:13">
      <c r="F32" s="9" t="s">
        <v>55</v>
      </c>
      <c r="G32" s="20">
        <f>1-(G33/G28)</f>
        <v>0.19999999999999996</v>
      </c>
      <c r="H32" s="9"/>
      <c r="K32" s="9" t="s">
        <v>89</v>
      </c>
      <c r="L32" s="20">
        <v>0.28284999999999999</v>
      </c>
      <c r="M32" s="9"/>
    </row>
    <row r="33" spans="1:13">
      <c r="F33" s="9" t="s">
        <v>56</v>
      </c>
      <c r="G33" s="19">
        <v>280</v>
      </c>
      <c r="H33" s="12">
        <f t="shared" ref="H33" si="5">G33/$H$1</f>
        <v>224</v>
      </c>
      <c r="K33" s="9" t="s">
        <v>56</v>
      </c>
      <c r="L33" s="12">
        <f>L30*(1-L32)</f>
        <v>224.03705735294116</v>
      </c>
      <c r="M33" s="10">
        <f>L33*$H$1</f>
        <v>280.04632169117644</v>
      </c>
    </row>
    <row r="34" spans="1:13">
      <c r="F34" s="9" t="s">
        <v>57</v>
      </c>
      <c r="G34" s="21">
        <f>1-(G35/G33)</f>
        <v>7.1428571428571397E-2</v>
      </c>
      <c r="H34" s="9"/>
      <c r="K34" s="9"/>
    </row>
    <row r="35" spans="1:13">
      <c r="F35" s="9" t="s">
        <v>58</v>
      </c>
      <c r="G35" s="10">
        <v>260</v>
      </c>
      <c r="H35" s="12">
        <f t="shared" ref="H35" si="6">G35/$H$1</f>
        <v>208</v>
      </c>
      <c r="K35" s="9"/>
    </row>
    <row r="36" spans="1:13" ht="15.75" thickBot="1">
      <c r="A36" t="s">
        <v>91</v>
      </c>
      <c r="F36" s="37"/>
      <c r="G36" s="38"/>
      <c r="H36" s="39"/>
      <c r="K36" s="37"/>
    </row>
    <row r="37" spans="1:13">
      <c r="A37" s="24" t="s">
        <v>81</v>
      </c>
      <c r="B37" s="40"/>
      <c r="C37" s="25" t="s">
        <v>46</v>
      </c>
      <c r="D37" s="24" t="s">
        <v>85</v>
      </c>
      <c r="E37" s="25"/>
    </row>
    <row r="38" spans="1:13">
      <c r="A38" s="28" t="s">
        <v>79</v>
      </c>
      <c r="B38" s="41">
        <v>4</v>
      </c>
      <c r="C38" s="32">
        <f>$G$26*B38</f>
        <v>2196</v>
      </c>
      <c r="D38" s="26">
        <f>$G$28*B38</f>
        <v>1400</v>
      </c>
      <c r="E38" s="27"/>
    </row>
    <row r="39" spans="1:13">
      <c r="A39" s="28" t="s">
        <v>39</v>
      </c>
      <c r="B39" s="41">
        <v>1</v>
      </c>
      <c r="C39" s="32">
        <f>$G$4*B39</f>
        <v>998</v>
      </c>
      <c r="D39" s="26">
        <f>$G$6*B39</f>
        <v>598.79999999999995</v>
      </c>
      <c r="E39" s="27"/>
    </row>
    <row r="40" spans="1:13">
      <c r="A40" s="28" t="s">
        <v>82</v>
      </c>
      <c r="B40" s="9"/>
      <c r="C40" s="32">
        <f>SUM(C38:C39)</f>
        <v>3194</v>
      </c>
      <c r="D40" s="26">
        <f>SUM(D38:D39)</f>
        <v>1998.8</v>
      </c>
      <c r="E40" s="27" t="s">
        <v>86</v>
      </c>
    </row>
    <row r="41" spans="1:13">
      <c r="A41" s="28" t="s">
        <v>83</v>
      </c>
      <c r="B41" s="20">
        <f>C41/C40</f>
        <v>6.3869755792110211E-2</v>
      </c>
      <c r="C41" s="32">
        <v>204</v>
      </c>
      <c r="D41" s="28">
        <v>0</v>
      </c>
      <c r="E41" s="27"/>
    </row>
    <row r="42" spans="1:13" ht="15.75" thickBot="1">
      <c r="A42" s="33" t="s">
        <v>46</v>
      </c>
      <c r="B42" s="34"/>
      <c r="C42" s="35">
        <f>C40-C41</f>
        <v>2990</v>
      </c>
      <c r="D42" s="29">
        <f>SUM(D40)</f>
        <v>1998.8</v>
      </c>
      <c r="E42" s="30">
        <f>1-D42/C42</f>
        <v>0.33150501672240806</v>
      </c>
    </row>
    <row r="43" spans="1:13" ht="15.75" thickBot="1"/>
    <row r="44" spans="1:13">
      <c r="A44" s="24" t="s">
        <v>81</v>
      </c>
      <c r="B44" s="31"/>
      <c r="C44" s="25" t="s">
        <v>46</v>
      </c>
      <c r="D44" s="24" t="s">
        <v>85</v>
      </c>
      <c r="E44" s="25"/>
    </row>
    <row r="45" spans="1:13">
      <c r="A45" s="28" t="s">
        <v>79</v>
      </c>
      <c r="B45" s="41">
        <v>5</v>
      </c>
      <c r="C45" s="32">
        <f>$G$26*B45</f>
        <v>2745</v>
      </c>
      <c r="D45" s="26">
        <f>$G$28*B45</f>
        <v>1750</v>
      </c>
      <c r="E45" s="27"/>
    </row>
    <row r="46" spans="1:13">
      <c r="A46" s="28" t="s">
        <v>39</v>
      </c>
      <c r="B46" s="41">
        <v>1</v>
      </c>
      <c r="C46" s="32">
        <f>$G$4*B46</f>
        <v>998</v>
      </c>
      <c r="D46" s="26">
        <f>$G$6*B46</f>
        <v>598.79999999999995</v>
      </c>
      <c r="E46" s="27"/>
    </row>
    <row r="47" spans="1:13">
      <c r="A47" s="28" t="s">
        <v>82</v>
      </c>
      <c r="B47" s="9"/>
      <c r="C47" s="32">
        <f>SUM(C45:C46)</f>
        <v>3743</v>
      </c>
      <c r="D47" s="26">
        <f>SUM(D45:D46)</f>
        <v>2348.8000000000002</v>
      </c>
      <c r="E47" s="27" t="s">
        <v>86</v>
      </c>
    </row>
    <row r="48" spans="1:13">
      <c r="A48" s="28" t="s">
        <v>83</v>
      </c>
      <c r="B48" s="20">
        <f>C48/C47</f>
        <v>6.759283996794016E-2</v>
      </c>
      <c r="C48" s="32">
        <v>253</v>
      </c>
      <c r="D48" s="28">
        <v>0</v>
      </c>
      <c r="E48" s="27"/>
    </row>
    <row r="49" spans="1:5" ht="15.75" thickBot="1">
      <c r="A49" s="33" t="s">
        <v>46</v>
      </c>
      <c r="B49" s="34"/>
      <c r="C49" s="35">
        <f>C47-C48</f>
        <v>3490</v>
      </c>
      <c r="D49" s="29">
        <f>SUM(D47)</f>
        <v>2348.8000000000002</v>
      </c>
      <c r="E49" s="30">
        <f>1-D49/C49</f>
        <v>0.32699140401146132</v>
      </c>
    </row>
    <row r="50" spans="1:5" ht="15.75" thickBot="1"/>
    <row r="51" spans="1:5">
      <c r="A51" s="24" t="s">
        <v>81</v>
      </c>
      <c r="B51" s="31"/>
      <c r="C51" s="25" t="s">
        <v>46</v>
      </c>
      <c r="D51" s="24" t="s">
        <v>85</v>
      </c>
      <c r="E51" s="25"/>
    </row>
    <row r="52" spans="1:5">
      <c r="A52" s="28" t="s">
        <v>79</v>
      </c>
      <c r="B52" s="41">
        <v>8</v>
      </c>
      <c r="C52" s="32">
        <f>$G$26*B52</f>
        <v>4392</v>
      </c>
      <c r="D52" s="26">
        <f>$G$28*B52</f>
        <v>2800</v>
      </c>
      <c r="E52" s="27"/>
    </row>
    <row r="53" spans="1:5">
      <c r="A53" s="28" t="s">
        <v>39</v>
      </c>
      <c r="B53" s="41">
        <v>1</v>
      </c>
      <c r="C53" s="32">
        <f>$G$4*B53</f>
        <v>998</v>
      </c>
      <c r="D53" s="26">
        <f>$G$6*B53</f>
        <v>598.79999999999995</v>
      </c>
      <c r="E53" s="27"/>
    </row>
    <row r="54" spans="1:5">
      <c r="A54" s="28" t="s">
        <v>82</v>
      </c>
      <c r="B54" s="9"/>
      <c r="C54" s="32">
        <f>SUM(C52:C53)</f>
        <v>5390</v>
      </c>
      <c r="D54" s="26">
        <f>SUM(D52:D53)</f>
        <v>3398.8</v>
      </c>
      <c r="E54" s="27" t="s">
        <v>86</v>
      </c>
    </row>
    <row r="55" spans="1:5">
      <c r="A55" s="28" t="s">
        <v>83</v>
      </c>
      <c r="B55" s="20">
        <f>C55/C54</f>
        <v>7.4211502782931357E-2</v>
      </c>
      <c r="C55" s="32">
        <v>400</v>
      </c>
      <c r="D55" s="28">
        <v>0</v>
      </c>
      <c r="E55" s="27"/>
    </row>
    <row r="56" spans="1:5" ht="15.75" thickBot="1">
      <c r="A56" s="33" t="s">
        <v>46</v>
      </c>
      <c r="B56" s="34"/>
      <c r="C56" s="35">
        <f>C54-C55</f>
        <v>4990</v>
      </c>
      <c r="D56" s="29">
        <f>SUM(D54)</f>
        <v>3398.8</v>
      </c>
      <c r="E56" s="30">
        <f>1-D56/C56</f>
        <v>0.31887775551102204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51"/>
  <sheetViews>
    <sheetView topLeftCell="A31" workbookViewId="0">
      <selection activeCell="H49" sqref="H49"/>
    </sheetView>
  </sheetViews>
  <sheetFormatPr defaultRowHeight="15"/>
  <sheetData>
    <row r="2" spans="3:3">
      <c r="C2" s="2" t="s">
        <v>5</v>
      </c>
    </row>
    <row r="3" spans="3:3">
      <c r="C3" s="2" t="s">
        <v>6</v>
      </c>
    </row>
    <row r="4" spans="3:3">
      <c r="C4" s="2" t="s">
        <v>7</v>
      </c>
    </row>
    <row r="5" spans="3:3">
      <c r="C5" s="2" t="s">
        <v>8</v>
      </c>
    </row>
    <row r="6" spans="3:3">
      <c r="C6" s="2" t="s">
        <v>9</v>
      </c>
    </row>
    <row r="7" spans="3:3">
      <c r="C7" s="2" t="s">
        <v>10</v>
      </c>
    </row>
    <row r="8" spans="3:3">
      <c r="C8" s="2" t="s">
        <v>11</v>
      </c>
    </row>
    <row r="9" spans="3:3">
      <c r="C9" s="2" t="s">
        <v>12</v>
      </c>
    </row>
    <row r="10" spans="3:3">
      <c r="C10" s="2" t="s">
        <v>13</v>
      </c>
    </row>
    <row r="11" spans="3:3">
      <c r="C11" s="2"/>
    </row>
    <row r="12" spans="3:3">
      <c r="C12" s="2"/>
    </row>
    <row r="13" spans="3:3">
      <c r="C13" s="2" t="s">
        <v>14</v>
      </c>
    </row>
    <row r="14" spans="3:3">
      <c r="C14" s="2" t="s">
        <v>15</v>
      </c>
    </row>
    <row r="15" spans="3:3">
      <c r="C15" s="2" t="s">
        <v>16</v>
      </c>
    </row>
    <row r="16" spans="3:3">
      <c r="C16" s="2" t="s">
        <v>17</v>
      </c>
    </row>
    <row r="17" spans="3:3">
      <c r="C17" s="2" t="s">
        <v>18</v>
      </c>
    </row>
    <row r="18" spans="3:3">
      <c r="C18" s="2" t="s">
        <v>19</v>
      </c>
    </row>
    <row r="19" spans="3:3">
      <c r="C19" s="2" t="s">
        <v>20</v>
      </c>
    </row>
    <row r="20" spans="3:3">
      <c r="C20" s="2"/>
    </row>
    <row r="21" spans="3:3">
      <c r="C21" s="2"/>
    </row>
    <row r="22" spans="3:3">
      <c r="C22" s="2" t="s">
        <v>21</v>
      </c>
    </row>
    <row r="23" spans="3:3">
      <c r="C23" s="2" t="s">
        <v>15</v>
      </c>
    </row>
    <row r="24" spans="3:3">
      <c r="C24" s="2" t="s">
        <v>22</v>
      </c>
    </row>
    <row r="25" spans="3:3">
      <c r="C25" s="2" t="s">
        <v>23</v>
      </c>
    </row>
    <row r="26" spans="3:3">
      <c r="C26" s="2" t="s">
        <v>18</v>
      </c>
    </row>
    <row r="27" spans="3:3">
      <c r="C27" s="2" t="s">
        <v>24</v>
      </c>
    </row>
    <row r="28" spans="3:3">
      <c r="C28" s="2" t="s">
        <v>19</v>
      </c>
    </row>
    <row r="29" spans="3:3">
      <c r="C29" s="2" t="s">
        <v>20</v>
      </c>
    </row>
    <row r="30" spans="3:3">
      <c r="C30" s="2"/>
    </row>
    <row r="31" spans="3:3">
      <c r="C31" s="2"/>
    </row>
    <row r="32" spans="3:3">
      <c r="C32" s="2" t="s">
        <v>25</v>
      </c>
    </row>
    <row r="33" spans="1:10">
      <c r="C33" s="2" t="s">
        <v>15</v>
      </c>
    </row>
    <row r="34" spans="1:10">
      <c r="C34" s="2" t="s">
        <v>26</v>
      </c>
      <c r="I34">
        <f>4.96+3.21+4.34</f>
        <v>12.51</v>
      </c>
      <c r="J34">
        <f>13.55+9.48+13.55</f>
        <v>36.58</v>
      </c>
    </row>
    <row r="35" spans="1:10">
      <c r="C35" s="2" t="s">
        <v>27</v>
      </c>
    </row>
    <row r="36" spans="1:10">
      <c r="C36" s="2" t="s">
        <v>18</v>
      </c>
    </row>
    <row r="37" spans="1:10">
      <c r="C37" s="2" t="s">
        <v>24</v>
      </c>
    </row>
    <row r="38" spans="1:10">
      <c r="C38" s="2" t="s">
        <v>19</v>
      </c>
    </row>
    <row r="39" spans="1:10">
      <c r="C39" s="2" t="s">
        <v>28</v>
      </c>
    </row>
    <row r="40" spans="1:10">
      <c r="C40" s="2"/>
    </row>
    <row r="45" spans="1:10">
      <c r="A45">
        <v>1.25</v>
      </c>
      <c r="B45" t="s">
        <v>67</v>
      </c>
      <c r="C45" t="s">
        <v>68</v>
      </c>
      <c r="D45" t="s">
        <v>69</v>
      </c>
      <c r="E45" s="7">
        <v>0.02</v>
      </c>
      <c r="F45" s="7">
        <v>0.19</v>
      </c>
      <c r="H45" t="s">
        <v>71</v>
      </c>
    </row>
    <row r="46" spans="1:10">
      <c r="B46" s="1">
        <v>124.4</v>
      </c>
      <c r="C46" s="1">
        <v>10</v>
      </c>
      <c r="D46" s="8">
        <f>B46+C46</f>
        <v>134.4</v>
      </c>
      <c r="E46">
        <f>D46*E45</f>
        <v>2.6880000000000002</v>
      </c>
      <c r="F46">
        <f>D46*F45</f>
        <v>25.536000000000001</v>
      </c>
      <c r="H46" s="1">
        <f>D46+E46</f>
        <v>137.08799999999999</v>
      </c>
    </row>
    <row r="47" spans="1:10">
      <c r="B47" s="4">
        <f>B46/$A$45</f>
        <v>99.52000000000001</v>
      </c>
      <c r="C47" s="4">
        <f t="shared" ref="C47:H47" si="0">C46/$A$45</f>
        <v>8</v>
      </c>
      <c r="D47" s="4">
        <f t="shared" si="0"/>
        <v>107.52000000000001</v>
      </c>
      <c r="E47" s="4">
        <f t="shared" si="0"/>
        <v>2.1504000000000003</v>
      </c>
      <c r="F47" s="4">
        <f t="shared" si="0"/>
        <v>20.428800000000003</v>
      </c>
      <c r="H47" s="4">
        <f t="shared" si="0"/>
        <v>109.6704</v>
      </c>
    </row>
    <row r="49" spans="2:4">
      <c r="B49" t="s">
        <v>70</v>
      </c>
      <c r="C49" s="7">
        <v>0.19</v>
      </c>
    </row>
    <row r="50" spans="2:4">
      <c r="B50" s="1">
        <v>280</v>
      </c>
      <c r="C50" s="1">
        <f>B50*C49</f>
        <v>53.2</v>
      </c>
      <c r="D50" s="1">
        <f>B50+C50</f>
        <v>333.2</v>
      </c>
    </row>
    <row r="51" spans="2:4">
      <c r="B51" s="4">
        <f>B50/$A$45</f>
        <v>224</v>
      </c>
      <c r="C51" s="4">
        <f>C50/$A$45</f>
        <v>42.56</v>
      </c>
      <c r="D51" s="4">
        <f>D50/$A$45</f>
        <v>266.56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protots</vt:lpstr>
      <vt:lpstr>Global Pricing</vt:lpstr>
      <vt:lpstr>Sheet2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CG</cp:lastModifiedBy>
  <dcterms:created xsi:type="dcterms:W3CDTF">2010-06-28T06:51:47Z</dcterms:created>
  <dcterms:modified xsi:type="dcterms:W3CDTF">2010-06-28T09:20:19Z</dcterms:modified>
</cp:coreProperties>
</file>